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ichardM\Desktop\Website\WHY Cobots\ROI\"/>
    </mc:Choice>
  </mc:AlternateContent>
  <xr:revisionPtr revIDLastSave="0" documentId="13_ncr:1_{E1F25511-C57D-47BE-8257-8912A58025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26" i="1"/>
  <c r="L23" i="1"/>
  <c r="L24" i="1" s="1"/>
  <c r="L25" i="1"/>
  <c r="L9" i="1"/>
  <c r="L8" i="1"/>
  <c r="L7" i="1"/>
  <c r="L6" i="1"/>
  <c r="C26" i="1"/>
  <c r="C27" i="1" s="1"/>
  <c r="L5" i="1" s="1"/>
  <c r="F9" i="1"/>
  <c r="F8" i="1"/>
  <c r="F7" i="1"/>
  <c r="F6" i="1"/>
  <c r="C12" i="1"/>
  <c r="C11" i="1"/>
  <c r="C13" i="1"/>
  <c r="M6" i="1" s="1"/>
  <c r="M7" i="1" s="1"/>
  <c r="M8" i="1" s="1"/>
  <c r="M9" i="1" s="1"/>
  <c r="M5" i="1" l="1"/>
  <c r="N5" i="1" s="1"/>
  <c r="O5" i="1" s="1"/>
  <c r="F5" i="1"/>
  <c r="N6" i="1"/>
  <c r="F25" i="1"/>
  <c r="F26" i="1"/>
  <c r="F27" i="1"/>
  <c r="F23" i="1"/>
  <c r="F24" i="1" s="1"/>
  <c r="G5" i="1"/>
  <c r="H5" i="1" l="1"/>
  <c r="I5" i="1" s="1"/>
  <c r="O6" i="1"/>
  <c r="N7" i="1"/>
  <c r="G6" i="1"/>
  <c r="G7" i="1" s="1"/>
  <c r="O7" i="1" l="1"/>
  <c r="N9" i="1"/>
  <c r="N8" i="1"/>
  <c r="H6" i="1"/>
  <c r="I6" i="1" s="1"/>
  <c r="G8" i="1"/>
  <c r="H7" i="1"/>
  <c r="O8" i="1" l="1"/>
  <c r="O9" i="1" s="1"/>
  <c r="I7" i="1"/>
  <c r="G9" i="1"/>
  <c r="H9" i="1" s="1"/>
  <c r="H8" i="1"/>
  <c r="I8" i="1" l="1"/>
  <c r="I9" i="1" l="1"/>
</calcChain>
</file>

<file path=xl/sharedStrings.xml><?xml version="1.0" encoding="utf-8"?>
<sst xmlns="http://schemas.openxmlformats.org/spreadsheetml/2006/main" count="59" uniqueCount="44">
  <si>
    <t>Employees on a Shift</t>
  </si>
  <si>
    <t>Description</t>
  </si>
  <si>
    <t>Value</t>
  </si>
  <si>
    <t>Hours per shift</t>
  </si>
  <si>
    <t>Shifts per day</t>
  </si>
  <si>
    <t>Operator Efficiency (typically 75-85%)</t>
  </si>
  <si>
    <t>Yearly Employee Salary - Include all associated costs</t>
  </si>
  <si>
    <t>Current Operator Cost</t>
  </si>
  <si>
    <t>Proposed System Cost</t>
  </si>
  <si>
    <t>Robot</t>
  </si>
  <si>
    <t>Gripper / tooling</t>
  </si>
  <si>
    <t>Fictures / Jigs</t>
  </si>
  <si>
    <t>Stands / Frames</t>
  </si>
  <si>
    <t>Vision system</t>
  </si>
  <si>
    <t>Saftey Equipment</t>
  </si>
  <si>
    <t>Misc</t>
  </si>
  <si>
    <t>Intergration</t>
  </si>
  <si>
    <t>Total Operator Cost P/Y:</t>
  </si>
  <si>
    <t>Total System Cost Per Year:</t>
  </si>
  <si>
    <t>Weeks Worked</t>
  </si>
  <si>
    <t>Days Per Week</t>
  </si>
  <si>
    <t>Yearly Maintance Cost</t>
  </si>
  <si>
    <t>Hours Worked Per year Total</t>
  </si>
  <si>
    <t>Operator cost per hour</t>
  </si>
  <si>
    <t>Robot Cell hourly Rate After 1 Year</t>
  </si>
  <si>
    <t>Robot Cell hourly Rate After 3 Years</t>
  </si>
  <si>
    <t>Robot Cell hourly Rate After 5 Years</t>
  </si>
  <si>
    <t>Year</t>
  </si>
  <si>
    <t>Robot System Cost</t>
  </si>
  <si>
    <t>Yearly Savings</t>
  </si>
  <si>
    <t>Yearly Cash Flow</t>
  </si>
  <si>
    <t>(cost + Mantance)</t>
  </si>
  <si>
    <t>At 1.5% Inflation</t>
  </si>
  <si>
    <t>Savings - Cost</t>
  </si>
  <si>
    <t>Cumulative Savings</t>
  </si>
  <si>
    <t>Per Year</t>
  </si>
  <si>
    <t>ROI CALCULATION TOOL</t>
  </si>
  <si>
    <r>
      <t xml:space="preserve">Return on investment Time </t>
    </r>
    <r>
      <rPr>
        <sz val="9"/>
        <color theme="1"/>
        <rFont val="Calibri"/>
        <family val="2"/>
        <scheme val="minor"/>
      </rPr>
      <t>- In Months</t>
    </r>
  </si>
  <si>
    <r>
      <t>Return on investment Time</t>
    </r>
    <r>
      <rPr>
        <sz val="9"/>
        <color theme="1"/>
        <rFont val="Calibri"/>
        <family val="2"/>
        <scheme val="minor"/>
      </rPr>
      <t xml:space="preserve"> - In Years</t>
    </r>
  </si>
  <si>
    <t>Super Deduction System cost</t>
  </si>
  <si>
    <t>Training</t>
  </si>
  <si>
    <t>System Cost Break Down without Super Deduction</t>
  </si>
  <si>
    <t>System Cost Break Down with Super Deduction</t>
  </si>
  <si>
    <t>Overview Of ROI in relation to 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</si>
</sst>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&quot;£&quot;#,##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42" fontId="0" fillId="0" borderId="5" xfId="0" applyNumberFormat="1" applyBorder="1"/>
    <xf numFmtId="0" fontId="0" fillId="2" borderId="4" xfId="0" applyFill="1" applyBorder="1" applyAlignment="1">
      <alignment horizontal="center"/>
    </xf>
    <xf numFmtId="42" fontId="0" fillId="3" borderId="5" xfId="0" applyNumberFormat="1" applyFill="1" applyBorder="1" applyAlignment="1">
      <alignment horizontal="center"/>
    </xf>
    <xf numFmtId="42" fontId="2" fillId="3" borderId="7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2" fontId="0" fillId="0" borderId="9" xfId="0" applyNumberFormat="1" applyBorder="1"/>
    <xf numFmtId="0" fontId="0" fillId="3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0" fillId="2" borderId="4" xfId="0" applyFill="1" applyBorder="1" applyAlignment="1">
      <alignment horizontal="right"/>
    </xf>
    <xf numFmtId="0" fontId="0" fillId="2" borderId="8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0" fillId="0" borderId="13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2" fontId="0" fillId="0" borderId="13" xfId="0" applyNumberFormat="1" applyBorder="1"/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3" borderId="15" xfId="0" applyFill="1" applyBorder="1" applyAlignment="1">
      <alignment horizontal="right" wrapText="1"/>
    </xf>
    <xf numFmtId="0" fontId="0" fillId="2" borderId="10" xfId="0" applyFill="1" applyBorder="1" applyAlignment="1">
      <alignment horizontal="center"/>
    </xf>
    <xf numFmtId="42" fontId="6" fillId="3" borderId="17" xfId="0" applyNumberFormat="1" applyFont="1" applyFill="1" applyBorder="1"/>
    <xf numFmtId="42" fontId="5" fillId="0" borderId="11" xfId="0" applyNumberFormat="1" applyFont="1" applyBorder="1"/>
    <xf numFmtId="164" fontId="1" fillId="0" borderId="20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Collaborative Application ROI Result (without</a:t>
            </a:r>
            <a:r>
              <a:rPr lang="en-GB" baseline="0"/>
              <a:t> super deduction)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02656965828608E-2"/>
          <c:y val="0.174438533250282"/>
          <c:w val="0.76310609296230181"/>
          <c:h val="0.7932269960279047"/>
        </c:manualLayout>
      </c:layout>
      <c:barChart>
        <c:barDir val="col"/>
        <c:grouping val="clustered"/>
        <c:varyColors val="0"/>
        <c:ser>
          <c:idx val="0"/>
          <c:order val="0"/>
          <c:tx>
            <c:v>Robot System Cost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Sheet1!$F$5:$F$9</c:f>
              <c:numCache>
                <c:formatCode>"£"#,##0</c:formatCode>
                <c:ptCount val="5"/>
                <c:pt idx="0">
                  <c:v>-43500</c:v>
                </c:pt>
                <c:pt idx="1">
                  <c:v>-2000</c:v>
                </c:pt>
                <c:pt idx="2">
                  <c:v>-2000</c:v>
                </c:pt>
                <c:pt idx="3">
                  <c:v>-2000</c:v>
                </c:pt>
                <c:pt idx="4">
                  <c:v>-2000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8-4349-9AC3-C27C77C79EA2}"/>
            </c:ext>
          </c:extLst>
        </c:ser>
        <c:ser>
          <c:idx val="1"/>
          <c:order val="1"/>
          <c:tx>
            <c:v>Yearly Savings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Sheet1!$G$5:$G$9</c:f>
              <c:numCache>
                <c:formatCode>"£"#,##0</c:formatCode>
                <c:ptCount val="5"/>
                <c:pt idx="0">
                  <c:v>30000</c:v>
                </c:pt>
                <c:pt idx="1">
                  <c:v>30449.999999999996</c:v>
                </c:pt>
                <c:pt idx="2">
                  <c:v>30906.749999999993</c:v>
                </c:pt>
                <c:pt idx="3">
                  <c:v>31370.351249999989</c:v>
                </c:pt>
                <c:pt idx="4">
                  <c:v>31840.906518749987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8-4349-9AC3-C27C77C79EA2}"/>
            </c:ext>
          </c:extLst>
        </c:ser>
        <c:ser>
          <c:idx val="2"/>
          <c:order val="2"/>
          <c:tx>
            <c:v>Yearly Cash Flow</c:v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Sheet1!$H$5:$H$9</c:f>
              <c:numCache>
                <c:formatCode>"£"#,##0</c:formatCode>
                <c:ptCount val="5"/>
                <c:pt idx="0">
                  <c:v>-13500</c:v>
                </c:pt>
                <c:pt idx="1">
                  <c:v>28449.999999999996</c:v>
                </c:pt>
                <c:pt idx="2">
                  <c:v>28906.749999999993</c:v>
                </c:pt>
                <c:pt idx="3">
                  <c:v>29370.351249999989</c:v>
                </c:pt>
                <c:pt idx="4">
                  <c:v>29840.906518749987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88-4349-9AC3-C27C77C79E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4371024"/>
        <c:axId val="42437135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(Sheet1!$E$8,Sheet1!$F$8:$I$8)</c15:sqref>
                        </c15:formulaRef>
                      </c:ext>
                    </c:extLst>
                    <c:numCache>
                      <c:formatCode>"£"#,##0</c:formatCode>
                      <c:ptCount val="5"/>
                      <c:pt idx="0" formatCode="General">
                        <c:v>4</c:v>
                      </c:pt>
                      <c:pt idx="1">
                        <c:v>-2000</c:v>
                      </c:pt>
                      <c:pt idx="2">
                        <c:v>31370.351249999989</c:v>
                      </c:pt>
                      <c:pt idx="3">
                        <c:v>29370.351249999989</c:v>
                      </c:pt>
                      <c:pt idx="4">
                        <c:v>73227.101249999978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688-4349-9AC3-C27C77C79EA2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1">
                      <a:shade val="5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(Sheet1!$E$9,Sheet1!$F$9:$I$9)</c15:sqref>
                        </c15:formulaRef>
                      </c:ext>
                    </c:extLst>
                    <c:numCache>
                      <c:formatCode>"£"#,##0</c:formatCode>
                      <c:ptCount val="5"/>
                      <c:pt idx="0" formatCode="General">
                        <c:v>5</c:v>
                      </c:pt>
                      <c:pt idx="1">
                        <c:v>-2000</c:v>
                      </c:pt>
                      <c:pt idx="2">
                        <c:v>31840.906518749987</c:v>
                      </c:pt>
                      <c:pt idx="3">
                        <c:v>29840.906518749987</c:v>
                      </c:pt>
                      <c:pt idx="4">
                        <c:v>103068.00776874996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688-4349-9AC3-C27C77C79EA2}"/>
                  </c:ext>
                </c:extLst>
              </c15:ser>
            </c15:filteredBarSeries>
          </c:ext>
        </c:extLst>
      </c:barChart>
      <c:catAx>
        <c:axId val="424371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71352"/>
        <c:crosses val="autoZero"/>
        <c:auto val="1"/>
        <c:lblAlgn val="ctr"/>
        <c:lblOffset val="100"/>
        <c:noMultiLvlLbl val="0"/>
      </c:catAx>
      <c:valAx>
        <c:axId val="42437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7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548647691639378"/>
          <c:y val="0.30922943720378709"/>
          <c:w val="0.15279153388163058"/>
          <c:h val="0.389771206419344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Collaborative Application ROI Result (without</a:t>
            </a:r>
            <a:r>
              <a:rPr lang="en-GB" baseline="0"/>
              <a:t> super deduction)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02656965828608E-2"/>
          <c:y val="0.174438533250282"/>
          <c:w val="0.76310609296230181"/>
          <c:h val="0.7932269960279047"/>
        </c:manualLayout>
      </c:layout>
      <c:barChart>
        <c:barDir val="col"/>
        <c:grouping val="clustered"/>
        <c:varyColors val="0"/>
        <c:ser>
          <c:idx val="0"/>
          <c:order val="0"/>
          <c:tx>
            <c:v>Robot System Cost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Sheet1!$L$5:$L$9</c:f>
              <c:numCache>
                <c:formatCode>"£"#,##0</c:formatCode>
                <c:ptCount val="5"/>
                <c:pt idx="0">
                  <c:v>-32295</c:v>
                </c:pt>
                <c:pt idx="1">
                  <c:v>-2000</c:v>
                </c:pt>
                <c:pt idx="2">
                  <c:v>-2000</c:v>
                </c:pt>
                <c:pt idx="3">
                  <c:v>-2000</c:v>
                </c:pt>
                <c:pt idx="4">
                  <c:v>-2000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A-486F-9D33-0D43E6533EF9}"/>
            </c:ext>
          </c:extLst>
        </c:ser>
        <c:ser>
          <c:idx val="1"/>
          <c:order val="1"/>
          <c:tx>
            <c:v>Yearly Savings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Sheet1!$M$5:$M$9</c:f>
              <c:numCache>
                <c:formatCode>"£"#,##0</c:formatCode>
                <c:ptCount val="5"/>
                <c:pt idx="0">
                  <c:v>30000</c:v>
                </c:pt>
                <c:pt idx="1">
                  <c:v>30449.999999999996</c:v>
                </c:pt>
                <c:pt idx="2">
                  <c:v>30906.749999999993</c:v>
                </c:pt>
                <c:pt idx="3">
                  <c:v>31370.351249999989</c:v>
                </c:pt>
                <c:pt idx="4">
                  <c:v>31840.906518749987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A-486F-9D33-0D43E6533EF9}"/>
            </c:ext>
          </c:extLst>
        </c:ser>
        <c:ser>
          <c:idx val="2"/>
          <c:order val="2"/>
          <c:tx>
            <c:v>Yearly Cash Flow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Sheet1!$N$5:$N$9</c:f>
              <c:numCache>
                <c:formatCode>"£"#,##0</c:formatCode>
                <c:ptCount val="5"/>
                <c:pt idx="0">
                  <c:v>-2295</c:v>
                </c:pt>
                <c:pt idx="1">
                  <c:v>28449.999999999996</c:v>
                </c:pt>
                <c:pt idx="2">
                  <c:v>28906.749999999993</c:v>
                </c:pt>
                <c:pt idx="3">
                  <c:v>29370.351249999989</c:v>
                </c:pt>
                <c:pt idx="4">
                  <c:v>29840.906518749987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A-486F-9D33-0D43E6533E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4371024"/>
        <c:axId val="42437135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(Sheet1!$E$8,Sheet1!$F$8:$I$8)</c15:sqref>
                        </c15:formulaRef>
                      </c:ext>
                    </c:extLst>
                    <c:numCache>
                      <c:formatCode>"£"#,##0</c:formatCode>
                      <c:ptCount val="5"/>
                      <c:pt idx="0" formatCode="General">
                        <c:v>4</c:v>
                      </c:pt>
                      <c:pt idx="1">
                        <c:v>-2000</c:v>
                      </c:pt>
                      <c:pt idx="2">
                        <c:v>31370.351249999989</c:v>
                      </c:pt>
                      <c:pt idx="3">
                        <c:v>29370.351249999989</c:v>
                      </c:pt>
                      <c:pt idx="4">
                        <c:v>73227.101249999978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A8A-486F-9D33-0D43E6533EF9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1">
                      <a:shade val="5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(Sheet1!$E$9,Sheet1!$F$9:$I$9)</c15:sqref>
                        </c15:formulaRef>
                      </c:ext>
                    </c:extLst>
                    <c:numCache>
                      <c:formatCode>"£"#,##0</c:formatCode>
                      <c:ptCount val="5"/>
                      <c:pt idx="0" formatCode="General">
                        <c:v>5</c:v>
                      </c:pt>
                      <c:pt idx="1">
                        <c:v>-2000</c:v>
                      </c:pt>
                      <c:pt idx="2">
                        <c:v>31840.906518749987</c:v>
                      </c:pt>
                      <c:pt idx="3">
                        <c:v>29840.906518749987</c:v>
                      </c:pt>
                      <c:pt idx="4">
                        <c:v>103068.00776874996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A8A-486F-9D33-0D43E6533EF9}"/>
                  </c:ext>
                </c:extLst>
              </c15:ser>
            </c15:filteredBarSeries>
          </c:ext>
        </c:extLst>
      </c:barChart>
      <c:catAx>
        <c:axId val="424371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71352"/>
        <c:crosses val="autoZero"/>
        <c:auto val="1"/>
        <c:lblAlgn val="ctr"/>
        <c:lblOffset val="100"/>
        <c:noMultiLvlLbl val="0"/>
      </c:catAx>
      <c:valAx>
        <c:axId val="42437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7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548647691639378"/>
          <c:y val="0.30922943720378709"/>
          <c:w val="0.15279153388163058"/>
          <c:h val="0.389771206419344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161924</xdr:colOff>
      <xdr:row>9</xdr:row>
      <xdr:rowOff>42863</xdr:rowOff>
    </xdr:from>
    <xdr:to>
      <xdr:col>8</xdr:col>
      <xdr:colOff>1228724</xdr:colOff>
      <xdr:row>20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75AD2F-657A-49B1-950A-8AC8A4AF3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57150</xdr:rowOff>
    </xdr:from>
    <xdr:to>
      <xdr:col>1</xdr:col>
      <xdr:colOff>1365817</xdr:colOff>
      <xdr:row>0</xdr:row>
      <xdr:rowOff>647700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BFE5DF-2BC6-49AF-BE29-B10607764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57150"/>
          <a:ext cx="1318192" cy="590550"/>
        </a:xfrm>
        <a:prstGeom prst="rect">
          <a:avLst/>
        </a:prstGeom>
      </xdr:spPr>
    </xdr:pic>
    <xdr:clientData/>
  </xdr:twoCellAnchor>
  <xdr:twoCellAnchor>
    <xdr:from>
      <xdr:col>10</xdr:col>
      <xdr:colOff>1</xdr:colOff>
      <xdr:row>9</xdr:row>
      <xdr:rowOff>38100</xdr:rowOff>
    </xdr:from>
    <xdr:to>
      <xdr:col>14</xdr:col>
      <xdr:colOff>1219201</xdr:colOff>
      <xdr:row>20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47003DE-EF1A-4660-95CE-6BDD5B02A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8"/>
  <sheetViews>
    <sheetView tabSelected="1" workbookViewId="0">
      <selection activeCell="H25" sqref="H25"/>
    </sheetView>
  </sheetViews>
  <sheetFormatPr defaultRowHeight="15" x14ac:dyDescent="0.25"/>
  <cols>
    <col min="1" max="1" width="2.85546875" customWidth="1"/>
    <col min="2" max="2" width="28.5703125" customWidth="1"/>
    <col min="3" max="3" width="12.5703125" customWidth="1"/>
    <col min="4" max="4" width="2.42578125" customWidth="1"/>
    <col min="5" max="5" width="35.28515625" customWidth="1"/>
    <col min="6" max="6" width="17.7109375" bestFit="1" customWidth="1"/>
    <col min="7" max="7" width="15.42578125" bestFit="1" customWidth="1"/>
    <col min="8" max="8" width="15.85546875" bestFit="1" customWidth="1"/>
    <col min="9" max="9" width="18.42578125" bestFit="1" customWidth="1"/>
    <col min="10" max="10" width="2.42578125" customWidth="1"/>
    <col min="11" max="11" width="35.28515625" bestFit="1" customWidth="1"/>
    <col min="12" max="12" width="17.7109375" bestFit="1" customWidth="1"/>
    <col min="13" max="13" width="13.7109375" bestFit="1" customWidth="1"/>
    <col min="14" max="14" width="16" bestFit="1" customWidth="1"/>
    <col min="15" max="15" width="18.42578125" bestFit="1" customWidth="1"/>
  </cols>
  <sheetData>
    <row r="1" spans="2:15" ht="54.75" customHeight="1" thickBot="1" x14ac:dyDescent="0.3">
      <c r="C1" s="62" t="s">
        <v>36</v>
      </c>
      <c r="D1" s="62"/>
      <c r="E1" s="62"/>
      <c r="F1" s="62"/>
      <c r="G1" s="62"/>
      <c r="H1" s="62"/>
      <c r="I1" s="62"/>
    </row>
    <row r="2" spans="2:15" ht="16.5" thickBot="1" x14ac:dyDescent="0.3">
      <c r="B2" s="57" t="s">
        <v>7</v>
      </c>
      <c r="C2" s="58"/>
      <c r="E2" s="63" t="s">
        <v>41</v>
      </c>
      <c r="F2" s="64"/>
      <c r="G2" s="64"/>
      <c r="H2" s="64"/>
      <c r="I2" s="65"/>
      <c r="K2" s="66" t="s">
        <v>42</v>
      </c>
      <c r="L2" s="67"/>
      <c r="M2" s="67"/>
      <c r="N2" s="67"/>
      <c r="O2" s="68"/>
    </row>
    <row r="3" spans="2:15" ht="21" customHeight="1" thickBot="1" x14ac:dyDescent="0.3">
      <c r="B3" s="18" t="s">
        <v>1</v>
      </c>
      <c r="C3" s="19" t="s">
        <v>2</v>
      </c>
      <c r="E3" s="24" t="s">
        <v>27</v>
      </c>
      <c r="F3" s="27" t="s">
        <v>28</v>
      </c>
      <c r="G3" s="27" t="s">
        <v>29</v>
      </c>
      <c r="H3" s="27" t="s">
        <v>30</v>
      </c>
      <c r="I3" s="28" t="s">
        <v>34</v>
      </c>
      <c r="K3" s="24" t="s">
        <v>27</v>
      </c>
      <c r="L3" s="27" t="s">
        <v>28</v>
      </c>
      <c r="M3" s="27" t="s">
        <v>29</v>
      </c>
      <c r="N3" s="27" t="s">
        <v>30</v>
      </c>
      <c r="O3" s="28" t="s">
        <v>34</v>
      </c>
    </row>
    <row r="4" spans="2:15" ht="15.75" thickBot="1" x14ac:dyDescent="0.3">
      <c r="B4" s="16" t="s">
        <v>0</v>
      </c>
      <c r="C4" s="17">
        <v>1</v>
      </c>
      <c r="E4" s="25"/>
      <c r="F4" s="23" t="s">
        <v>31</v>
      </c>
      <c r="G4" s="23" t="s">
        <v>32</v>
      </c>
      <c r="H4" s="22" t="s">
        <v>33</v>
      </c>
      <c r="I4" s="26" t="s">
        <v>35</v>
      </c>
      <c r="K4" s="25"/>
      <c r="L4" s="23" t="s">
        <v>31</v>
      </c>
      <c r="M4" s="23" t="s">
        <v>32</v>
      </c>
      <c r="N4" s="22" t="s">
        <v>33</v>
      </c>
      <c r="O4" s="26" t="s">
        <v>35</v>
      </c>
    </row>
    <row r="5" spans="2:15" x14ac:dyDescent="0.25">
      <c r="B5" s="14" t="s">
        <v>3</v>
      </c>
      <c r="C5" s="1">
        <v>8.5</v>
      </c>
      <c r="E5" s="50">
        <v>1</v>
      </c>
      <c r="F5" s="41">
        <f>(C26+C24)*-1</f>
        <v>-43500</v>
      </c>
      <c r="G5" s="42">
        <f>C13</f>
        <v>30000</v>
      </c>
      <c r="H5" s="42">
        <f>F5+G5</f>
        <v>-13500</v>
      </c>
      <c r="I5" s="43">
        <f>H5</f>
        <v>-13500</v>
      </c>
      <c r="K5" s="29">
        <v>1</v>
      </c>
      <c r="L5" s="41">
        <f>(C27+C24)*-1</f>
        <v>-32295</v>
      </c>
      <c r="M5" s="42">
        <f>C13</f>
        <v>30000</v>
      </c>
      <c r="N5" s="42">
        <f>L5+M5</f>
        <v>-2295</v>
      </c>
      <c r="O5" s="43">
        <f>N5</f>
        <v>-2295</v>
      </c>
    </row>
    <row r="6" spans="2:15" x14ac:dyDescent="0.25">
      <c r="B6" s="14" t="s">
        <v>4</v>
      </c>
      <c r="C6" s="1">
        <v>1</v>
      </c>
      <c r="E6" s="51">
        <v>2</v>
      </c>
      <c r="F6" s="44">
        <f>C24*-1</f>
        <v>-2000</v>
      </c>
      <c r="G6" s="45">
        <f>G5*1.015</f>
        <v>30449.999999999996</v>
      </c>
      <c r="H6" s="45">
        <f>F6+G6</f>
        <v>28449.999999999996</v>
      </c>
      <c r="I6" s="46">
        <f>I5+H6</f>
        <v>14949.999999999996</v>
      </c>
      <c r="K6" s="4">
        <v>2</v>
      </c>
      <c r="L6" s="44">
        <f>C24*-1</f>
        <v>-2000</v>
      </c>
      <c r="M6" s="45">
        <f>C13*1.015</f>
        <v>30449.999999999996</v>
      </c>
      <c r="N6" s="45">
        <f>L6+M6</f>
        <v>28449.999999999996</v>
      </c>
      <c r="O6" s="46">
        <f>O5+N6</f>
        <v>26154.999999999996</v>
      </c>
    </row>
    <row r="7" spans="2:15" x14ac:dyDescent="0.25">
      <c r="B7" s="14" t="s">
        <v>19</v>
      </c>
      <c r="C7" s="1">
        <v>48</v>
      </c>
      <c r="E7" s="51">
        <v>3</v>
      </c>
      <c r="F7" s="44">
        <f>C24*-1</f>
        <v>-2000</v>
      </c>
      <c r="G7" s="45">
        <f>G6*1.015</f>
        <v>30906.749999999993</v>
      </c>
      <c r="H7" s="45">
        <f>F7+G7</f>
        <v>28906.749999999993</v>
      </c>
      <c r="I7" s="46">
        <f>I6+H7</f>
        <v>43856.749999999985</v>
      </c>
      <c r="K7" s="4">
        <v>3</v>
      </c>
      <c r="L7" s="44">
        <f>C24*-1</f>
        <v>-2000</v>
      </c>
      <c r="M7" s="45">
        <f>M6*1.015</f>
        <v>30906.749999999993</v>
      </c>
      <c r="N7" s="45">
        <f>L7+M7</f>
        <v>28906.749999999993</v>
      </c>
      <c r="O7" s="46">
        <f>O6+N7</f>
        <v>55061.749999999985</v>
      </c>
    </row>
    <row r="8" spans="2:15" x14ac:dyDescent="0.25">
      <c r="B8" s="14" t="s">
        <v>20</v>
      </c>
      <c r="C8" s="1">
        <v>5</v>
      </c>
      <c r="E8" s="51">
        <v>4</v>
      </c>
      <c r="F8" s="44">
        <f>C24*-1</f>
        <v>-2000</v>
      </c>
      <c r="G8" s="45">
        <f t="shared" ref="G8:G9" si="0">G7*1.015</f>
        <v>31370.351249999989</v>
      </c>
      <c r="H8" s="45">
        <f>F8+G8</f>
        <v>29370.351249999989</v>
      </c>
      <c r="I8" s="46">
        <f>I7+H8</f>
        <v>73227.101249999978</v>
      </c>
      <c r="K8" s="4">
        <v>4</v>
      </c>
      <c r="L8" s="44">
        <f>C24*-1</f>
        <v>-2000</v>
      </c>
      <c r="M8" s="45">
        <f>M7*1.015</f>
        <v>31370.351249999989</v>
      </c>
      <c r="N8" s="45">
        <f>L8+M8</f>
        <v>29370.351249999989</v>
      </c>
      <c r="O8" s="46">
        <f>O7+N8</f>
        <v>84432.101249999978</v>
      </c>
    </row>
    <row r="9" spans="2:15" ht="30.75" thickBot="1" x14ac:dyDescent="0.3">
      <c r="B9" s="10" t="s">
        <v>5</v>
      </c>
      <c r="C9" s="2">
        <v>0.9</v>
      </c>
      <c r="E9" s="52">
        <v>5</v>
      </c>
      <c r="F9" s="47">
        <f>C24*-1</f>
        <v>-2000</v>
      </c>
      <c r="G9" s="48">
        <f t="shared" si="0"/>
        <v>31840.906518749987</v>
      </c>
      <c r="H9" s="48">
        <f>F9+G9</f>
        <v>29840.906518749987</v>
      </c>
      <c r="I9" s="49">
        <f>I8+H9</f>
        <v>103068.00776874996</v>
      </c>
      <c r="K9" s="30">
        <v>5</v>
      </c>
      <c r="L9" s="47">
        <f>C24*-1</f>
        <v>-2000</v>
      </c>
      <c r="M9" s="48">
        <f>M8*1.015</f>
        <v>31840.906518749987</v>
      </c>
      <c r="N9" s="48">
        <f>L9+M9</f>
        <v>29840.906518749987</v>
      </c>
      <c r="O9" s="49">
        <f>O8+N9</f>
        <v>114273.00776874996</v>
      </c>
    </row>
    <row r="10" spans="2:15" ht="30.75" thickBot="1" x14ac:dyDescent="0.3">
      <c r="B10" s="15" t="s">
        <v>6</v>
      </c>
      <c r="C10" s="8">
        <v>30000</v>
      </c>
    </row>
    <row r="11" spans="2:15" x14ac:dyDescent="0.25">
      <c r="B11" s="11" t="s">
        <v>22</v>
      </c>
      <c r="C11" s="9">
        <f>(((C5*C4)*C6)*5)*48</f>
        <v>2040</v>
      </c>
    </row>
    <row r="12" spans="2:15" ht="15.75" customHeight="1" x14ac:dyDescent="0.25">
      <c r="B12" s="12" t="s">
        <v>23</v>
      </c>
      <c r="C12" s="5">
        <f>C10/((C5*C8)*C7)</f>
        <v>14.705882352941176</v>
      </c>
    </row>
    <row r="13" spans="2:15" ht="15.75" thickBot="1" x14ac:dyDescent="0.3">
      <c r="B13" s="13" t="s">
        <v>17</v>
      </c>
      <c r="C13" s="6">
        <f>(C4*C6)*C10</f>
        <v>30000</v>
      </c>
    </row>
    <row r="14" spans="2:15" ht="13.5" customHeight="1" thickBot="1" x14ac:dyDescent="0.3"/>
    <row r="15" spans="2:15" ht="15.75" thickBot="1" x14ac:dyDescent="0.3">
      <c r="B15" s="59" t="s">
        <v>8</v>
      </c>
      <c r="C15" s="60"/>
    </row>
    <row r="16" spans="2:15" x14ac:dyDescent="0.25">
      <c r="B16" s="20" t="s">
        <v>9</v>
      </c>
      <c r="C16" s="21">
        <v>25000</v>
      </c>
    </row>
    <row r="17" spans="2:12" x14ac:dyDescent="0.25">
      <c r="B17" s="4" t="s">
        <v>10</v>
      </c>
      <c r="C17" s="3">
        <v>3500</v>
      </c>
    </row>
    <row r="18" spans="2:12" x14ac:dyDescent="0.25">
      <c r="B18" s="4" t="s">
        <v>11</v>
      </c>
      <c r="C18" s="3">
        <v>2500</v>
      </c>
    </row>
    <row r="19" spans="2:12" x14ac:dyDescent="0.25">
      <c r="B19" s="4" t="s">
        <v>12</v>
      </c>
      <c r="C19" s="3">
        <v>3000</v>
      </c>
    </row>
    <row r="20" spans="2:12" x14ac:dyDescent="0.25">
      <c r="B20" s="4" t="s">
        <v>13</v>
      </c>
      <c r="C20" s="3"/>
    </row>
    <row r="21" spans="2:12" ht="15.75" thickBot="1" x14ac:dyDescent="0.3">
      <c r="B21" s="4" t="s">
        <v>14</v>
      </c>
      <c r="C21" s="3"/>
    </row>
    <row r="22" spans="2:12" ht="15.75" thickBot="1" x14ac:dyDescent="0.3">
      <c r="B22" s="4" t="s">
        <v>15</v>
      </c>
      <c r="C22" s="3">
        <v>5000</v>
      </c>
      <c r="E22" s="69" t="s">
        <v>43</v>
      </c>
      <c r="F22" s="70"/>
      <c r="K22" s="69" t="s">
        <v>43</v>
      </c>
      <c r="L22" s="70"/>
    </row>
    <row r="23" spans="2:12" x14ac:dyDescent="0.25">
      <c r="B23" s="4" t="s">
        <v>16</v>
      </c>
      <c r="C23" s="3"/>
      <c r="E23" s="53" t="s">
        <v>38</v>
      </c>
      <c r="F23" s="56">
        <f>C26/C13</f>
        <v>1.3833333333333333</v>
      </c>
      <c r="K23" s="34" t="s">
        <v>38</v>
      </c>
      <c r="L23" s="56">
        <f>C27/C13</f>
        <v>1.0098333333333334</v>
      </c>
    </row>
    <row r="24" spans="2:12" x14ac:dyDescent="0.25">
      <c r="B24" s="7" t="s">
        <v>21</v>
      </c>
      <c r="C24" s="8">
        <v>2000</v>
      </c>
      <c r="E24" s="54" t="s">
        <v>37</v>
      </c>
      <c r="F24" s="31">
        <f>F23*12</f>
        <v>16.600000000000001</v>
      </c>
      <c r="K24" s="35" t="s">
        <v>37</v>
      </c>
      <c r="L24" s="31">
        <f>L23*12</f>
        <v>12.118</v>
      </c>
    </row>
    <row r="25" spans="2:12" ht="15.75" thickBot="1" x14ac:dyDescent="0.3">
      <c r="B25" s="7" t="s">
        <v>40</v>
      </c>
      <c r="C25" s="8">
        <v>500</v>
      </c>
      <c r="E25" s="54" t="s">
        <v>24</v>
      </c>
      <c r="F25" s="32">
        <f>C26/(((((C4*C5)*C6)*C8)*C7)*1)</f>
        <v>20.343137254901961</v>
      </c>
      <c r="K25" s="35" t="s">
        <v>24</v>
      </c>
      <c r="L25" s="32">
        <f>C27/(((((C4*C5)*C6)*C8)*C7)*1)</f>
        <v>14.850490196078431</v>
      </c>
    </row>
    <row r="26" spans="2:12" ht="15.75" thickBot="1" x14ac:dyDescent="0.3">
      <c r="B26" s="37" t="s">
        <v>18</v>
      </c>
      <c r="C26" s="39">
        <f>SUM(C16:C25)</f>
        <v>41500</v>
      </c>
      <c r="E26" s="54" t="s">
        <v>25</v>
      </c>
      <c r="F26" s="32">
        <f>C26/(((((C4*C5)*C6)*C8)*C7)*3)</f>
        <v>6.7810457516339868</v>
      </c>
      <c r="K26" s="35" t="s">
        <v>25</v>
      </c>
      <c r="L26" s="32">
        <f>C27/(((((C4*C5)*C6)*C8)*C7)*3)</f>
        <v>4.9501633986928102</v>
      </c>
    </row>
    <row r="27" spans="2:12" ht="15.75" thickBot="1" x14ac:dyDescent="0.3">
      <c r="B27" s="38" t="s">
        <v>39</v>
      </c>
      <c r="C27" s="40">
        <f>C26*(1-0.27)</f>
        <v>30295</v>
      </c>
      <c r="E27" s="55" t="s">
        <v>26</v>
      </c>
      <c r="F27" s="33">
        <f>C26/(((((C4*C5)*C6)*C8)*C7)*5)</f>
        <v>4.0686274509803919</v>
      </c>
      <c r="K27" s="36" t="s">
        <v>26</v>
      </c>
      <c r="L27" s="33">
        <f>C27/(((((C4*C5)*C6)*C8)*C7)*5)</f>
        <v>2.9700980392156864</v>
      </c>
    </row>
    <row r="28" spans="2:12" x14ac:dyDescent="0.25">
      <c r="B28" s="61"/>
      <c r="C28" s="61"/>
    </row>
  </sheetData>
  <mergeCells count="8">
    <mergeCell ref="K2:O2"/>
    <mergeCell ref="E22:F22"/>
    <mergeCell ref="K22:L22"/>
    <mergeCell ref="B2:C2"/>
    <mergeCell ref="B15:C15"/>
    <mergeCell ref="B28:C28"/>
    <mergeCell ref="C1:I1"/>
    <mergeCell ref="E2:I2"/>
  </mergeCells>
  <conditionalFormatting sqref="G5:I9">
    <cfRule type="cellIs" dxfId="5" priority="4" operator="lessThan">
      <formula>0</formula>
    </cfRule>
    <cfRule type="cellIs" dxfId="4" priority="6" operator="greaterThan">
      <formula>0</formula>
    </cfRule>
  </conditionalFormatting>
  <conditionalFormatting sqref="H5:I5">
    <cfRule type="cellIs" dxfId="3" priority="5" operator="lessThan">
      <formula>0</formula>
    </cfRule>
  </conditionalFormatting>
  <conditionalFormatting sqref="M5:O9">
    <cfRule type="cellIs" dxfId="2" priority="1" operator="lessThan">
      <formula>0</formula>
    </cfRule>
    <cfRule type="cellIs" dxfId="1" priority="3" operator="greaterThan">
      <formula>0</formula>
    </cfRule>
  </conditionalFormatting>
  <conditionalFormatting sqref="N5:O5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Mawson</dc:creator>
  <cp:lastModifiedBy>Richard Mawson</cp:lastModifiedBy>
  <dcterms:created xsi:type="dcterms:W3CDTF">2015-06-05T18:17:20Z</dcterms:created>
  <dcterms:modified xsi:type="dcterms:W3CDTF">2021-03-22T16:04:47Z</dcterms:modified>
</cp:coreProperties>
</file>